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yubuzynnyk\Desktop\Комплексна перевірка НБУ\Права споживачів\"/>
    </mc:Choice>
  </mc:AlternateContent>
  <workbookProtection workbookAlgorithmName="SHA-512" workbookHashValue="QmnGW9jSUU+E9lH75tkh4O4qN8nZ/guyDn8LZZFOO4/KTOq4kY5OVVZQPGSveQYo/Prm1xM6L/9qtv3emXs0Wg==" workbookSaltValue="bUWZuMz8c3c/pHWQXoeEZQ==" workbookSpinCount="100000" lockStructure="1"/>
  <bookViews>
    <workbookView xWindow="0" yWindow="0" windowWidth="20280" windowHeight="7236"/>
  </bookViews>
  <sheets>
    <sheet name="Калькулятор" sheetId="1" r:id="rId1"/>
  </sheets>
  <definedNames>
    <definedName name="_xlnm.Print_Area" localSheetId="0">Калькулятор!$A$1:$T$70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 i="1" l="1"/>
  <c r="J37" i="1" l="1"/>
  <c r="F39" i="1" l="1"/>
  <c r="F40" i="1" l="1"/>
  <c r="F41" i="1" s="1"/>
  <c r="F42" i="1" l="1"/>
  <c r="F43" i="1" s="1"/>
  <c r="F44" i="1" l="1"/>
  <c r="F45" i="1" l="1"/>
  <c r="F46" i="1" s="1"/>
  <c r="F47" i="1" l="1"/>
  <c r="F48" i="1" s="1"/>
  <c r="F49" i="1" s="1"/>
  <c r="F50" i="1" s="1"/>
  <c r="Q51" i="1" l="1"/>
  <c r="M51" i="1"/>
  <c r="L51" i="1"/>
  <c r="K51" i="1"/>
  <c r="I51" i="1"/>
  <c r="H51" i="1"/>
  <c r="F37" i="1" l="1"/>
  <c r="J51" i="1" l="1"/>
  <c r="N51" i="1" l="1"/>
  <c r="O51" i="1"/>
  <c r="E37" i="1"/>
  <c r="C37" i="1" l="1"/>
  <c r="C50" i="1" s="1"/>
  <c r="C38" i="1" l="1"/>
  <c r="F51" i="1"/>
  <c r="D38" i="1" l="1"/>
  <c r="G38" i="1" s="1"/>
  <c r="E38" i="1" s="1"/>
  <c r="C39" i="1"/>
  <c r="C40" i="1" s="1"/>
  <c r="C41" i="1" s="1"/>
  <c r="C42" i="1" s="1"/>
  <c r="C43" i="1" s="1"/>
  <c r="C44" i="1" s="1"/>
  <c r="C45" i="1" s="1"/>
  <c r="C46" i="1" s="1"/>
  <c r="C47" i="1" s="1"/>
  <c r="C48" i="1" s="1"/>
  <c r="C49" i="1" s="1"/>
  <c r="D50" i="1" l="1"/>
  <c r="G50" i="1" s="1"/>
  <c r="D49" i="1"/>
  <c r="D39" i="1"/>
  <c r="G39" i="1" s="1"/>
  <c r="D44" i="1"/>
  <c r="G44" i="1" s="1"/>
  <c r="D45" i="1"/>
  <c r="D40" i="1"/>
  <c r="G40" i="1" s="1"/>
  <c r="D42" i="1" l="1"/>
  <c r="G42" i="1" s="1"/>
  <c r="D41" i="1"/>
  <c r="G41" i="1" s="1"/>
  <c r="E39" i="1" l="1"/>
  <c r="E40" i="1"/>
  <c r="D43" i="1" l="1"/>
  <c r="G43" i="1" s="1"/>
  <c r="E41" i="1" l="1"/>
  <c r="E42" i="1" l="1"/>
  <c r="G45" i="1" l="1"/>
  <c r="E43" i="1" s="1"/>
  <c r="D46" i="1" l="1"/>
  <c r="G46" i="1" s="1"/>
  <c r="E44" i="1" s="1"/>
  <c r="D47" i="1" l="1"/>
  <c r="G47" i="1" s="1"/>
  <c r="E45" i="1" s="1"/>
  <c r="D48" i="1" l="1"/>
  <c r="G48" i="1" s="1"/>
  <c r="E46" i="1" s="1"/>
  <c r="G49" i="1" l="1"/>
  <c r="E49" i="1" s="1"/>
  <c r="E47" i="1" l="1"/>
  <c r="E50" i="1"/>
  <c r="D51" i="1" l="1"/>
  <c r="E48" i="1"/>
  <c r="R51" i="1" s="1"/>
  <c r="P51" i="1" l="1"/>
  <c r="J7" i="1" l="1"/>
  <c r="G51" i="1"/>
  <c r="J15" i="1" s="1"/>
  <c r="J11" i="1" l="1"/>
  <c r="S51" i="1"/>
  <c r="J9" i="1"/>
  <c r="E51" i="1"/>
  <c r="J13" i="1" l="1"/>
</calcChain>
</file>

<file path=xl/sharedStrings.xml><?xml version="1.0" encoding="utf-8"?>
<sst xmlns="http://schemas.openxmlformats.org/spreadsheetml/2006/main" count="73" uniqueCount="43">
  <si>
    <t>N з/п</t>
  </si>
  <si>
    <t>Дата видачі кредиту / дата платежу</t>
  </si>
  <si>
    <t>Кількість днів у розрахунковому періоді</t>
  </si>
  <si>
    <t>Чиста сума кредиту / сума платежу за розрахунковий період, грн.</t>
  </si>
  <si>
    <t>Види платежів за кредитом</t>
  </si>
  <si>
    <t>Реальна річна процентна ставка, %</t>
  </si>
  <si>
    <t>Загальна вартість кредиту, грн</t>
  </si>
  <si>
    <t>сума кредиту за договором</t>
  </si>
  <si>
    <t>проценти за користування кредитом</t>
  </si>
  <si>
    <t>платежі за додаткові та супутні послуги</t>
  </si>
  <si>
    <t>банку</t>
  </si>
  <si>
    <t>кредитного посередника (за наявності)</t>
  </si>
  <si>
    <t>третіх осіб</t>
  </si>
  <si>
    <t>за обслуговування кредитної заборгованості</t>
  </si>
  <si>
    <t>розрахунково- касове обслуговування</t>
  </si>
  <si>
    <t>комісія за надання кредиту</t>
  </si>
  <si>
    <t>комісійний збір</t>
  </si>
  <si>
    <t>послуги нотаріуса</t>
  </si>
  <si>
    <t>послуги оцінювача</t>
  </si>
  <si>
    <t>послуги страховика</t>
  </si>
  <si>
    <t>Х</t>
  </si>
  <si>
    <t>Усього</t>
  </si>
  <si>
    <t>Дата початку розрахунку</t>
  </si>
  <si>
    <t>фіксована процентна ставка (% річних)</t>
  </si>
  <si>
    <t>Умови споживчого кредиту</t>
  </si>
  <si>
    <t>інші послуги банку</t>
  </si>
  <si>
    <t>інші послуги третіх осіб</t>
  </si>
  <si>
    <r>
      <t>інша плата за послуги кредитного посередника</t>
    </r>
    <r>
      <rPr>
        <b/>
        <vertAlign val="superscript"/>
        <sz val="14"/>
        <color theme="1"/>
        <rFont val="Arial"/>
        <family val="2"/>
        <charset val="204"/>
      </rPr>
      <t xml:space="preserve"> 1</t>
    </r>
  </si>
  <si>
    <r>
      <t>Сума кредиту (</t>
    </r>
    <r>
      <rPr>
        <sz val="14"/>
        <rFont val="Arial"/>
        <family val="2"/>
        <charset val="204"/>
      </rPr>
      <t>UAH)</t>
    </r>
  </si>
  <si>
    <t>Строк (місяців)</t>
  </si>
  <si>
    <r>
      <rPr>
        <b/>
        <sz val="14"/>
        <color theme="1"/>
        <rFont val="Arial"/>
        <family val="2"/>
        <charset val="204"/>
      </rPr>
      <t xml:space="preserve">Розрахунок загальної вартості кредиту для споживача та реальної річної процентної ставки за договором про споживчий кредит
</t>
    </r>
    <r>
      <rPr>
        <b/>
        <sz val="14"/>
        <color rgb="FFFF0000"/>
        <rFont val="Arial"/>
        <family val="2"/>
        <charset val="204"/>
      </rPr>
      <t xml:space="preserve"> УВАГА!!! Розрахунок загальної вартості кредиту для споживача та реальної річної процентної ставки за договором про споживчий кредит розрахунок є орієнтовним, та враховує припущення, наведені до параметрів споживчого кредиту на дату розрахунку </t>
    </r>
    <r>
      <rPr>
        <sz val="14"/>
        <color theme="1"/>
        <rFont val="Arial"/>
        <family val="2"/>
        <charset val="204"/>
      </rPr>
      <t xml:space="preserve">
</t>
    </r>
  </si>
  <si>
    <t>Реальна річна процентна ставка, відсотків річних*</t>
  </si>
  <si>
    <t>Максимальна сума платежу  по кредиту за місяць (UAH)*</t>
  </si>
  <si>
    <t>Загальні витрати за споживчим кредитом (UAH)*</t>
  </si>
  <si>
    <t>Комісія за встановлення Кредтного ліміту**</t>
  </si>
  <si>
    <t>Загальна вартість кредиту для клієнта (UAH)*</t>
  </si>
  <si>
    <t>Комісія за видачу кредитних коштів готівкою/ переказу  кредитних коштів на інші рахунки (крім операцій за оплату товарів/послуг в точках продажу, у т.ч. в мережі Інтернет, з використанням картки) (UAH) **</t>
  </si>
  <si>
    <t>Комісія за відкриття рахунку та випуск картки**</t>
  </si>
  <si>
    <t>Комісія за оплату товарів та послуг в точках продажу та Інтернеті кредитними коштами з використанням картки**</t>
  </si>
  <si>
    <t xml:space="preserve">** Вартість послуг вказана на дату укладання Кредитного договору. Та може змінюватись банком протягом його дії, у порядку встановленому в Кредитному договорі. </t>
  </si>
  <si>
    <t>Обов'язковий мінімальний місячний платіж (% від суми заборгованості по Кредиту станом на початок місяця)</t>
  </si>
  <si>
    <t>Денна процентна ставка*</t>
  </si>
  <si>
    <r>
      <t xml:space="preserve">* УВАГА! Обчислення загальної вартості кредиту для споживача, реальної річної процентної ставки та денної процентної ставки за договором про споживчий кредит є орієнтовними та базуються умовах кредитування, викладених вище, і на припущенні, що договір про споживчий кредит залишатиметься дійсним протягом погодженого строку, а кредитодавець і споживач виконають свої обов’язки на умовах та у строки, визначені в договорі. 
Орієнтовна реальна річна процентна ставка та денна процентна ставка обчислені на основі припущення, що процентна ставка та інші платежі за послуги кредитодавця залишатимуться незмінними та застосовуватимуться протягом строку дії договору про споживчий кредит. 
</t>
    </r>
    <r>
      <rPr>
        <b/>
        <i/>
        <sz val="14"/>
        <rFont val="Arial"/>
        <family val="2"/>
        <charset val="204"/>
      </rPr>
      <t>Орієнтовна реальна процентна ставка, денна процентна ставка та загальна вартість споживчого кредиту розраховані на основі припущення, що Клієнт отримає разово всю суму кредиту в межах обраного клієнтом розміру кредитного ліміту на дату укладання кредитного договору готівкою або шляхом переказу на інший рахунок/картку, та здійснюватиме погашення Кредиту за наступною схемою: щомісячно сплата обов’язкового мінімального платежу -5% від суми основної заборгованості по Кредиту станом на дату початку Розрахункового періоду та сума процентів за користування кредитом нарахованих за попередній Розрахунковий період за процентною ставкою(базовою), а також сума простроченої заборгованості за Кредитом та нараховані проценти за користування Кредитом(у разі наявності), сума понадлімітної заборгованості та проценти за понадлімітною заборгованістю, непогашені штрафи та комісії згідно Тарифів Банку (у разі наявності). Сума розрахованого обов’язкового мінімального платежу не може бути меншою ніж 50,00 гривень але не більшою залишку заборгованості за Кредитом. Решта заборгованості має бути погашена до кінця строку кредитування.
Денна процентна ставка - загальні витрати за споживчим кредитом за кожний день користування кредитом, виражені у процентах від загального розміру виданого кредиту.</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</si>
</sst>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charset val="204"/>
      <scheme val="minor"/>
    </font>
    <font>
      <sz val="11"/>
      <color theme="1"/>
      <name val="Arial"/>
      <family val="2"/>
      <charset val="204"/>
    </font>
    <font>
      <sz val="14"/>
      <color theme="1"/>
      <name val="Arial"/>
      <family val="2"/>
      <charset val="204"/>
    </font>
    <font>
      <b/>
      <sz val="14"/>
      <color theme="1"/>
      <name val="Arial"/>
      <family val="2"/>
      <charset val="204"/>
    </font>
    <font>
      <b/>
      <sz val="14"/>
      <color rgb="FFFF0000"/>
      <name val="Arial"/>
      <family val="2"/>
      <charset val="204"/>
    </font>
    <font>
      <b/>
      <vertAlign val="superscript"/>
      <sz val="14"/>
      <color theme="1"/>
      <name val="Arial"/>
      <family val="2"/>
      <charset val="204"/>
    </font>
    <font>
      <sz val="14"/>
      <name val="Arial"/>
      <family val="2"/>
      <charset val="204"/>
    </font>
    <font>
      <b/>
      <sz val="14"/>
      <name val="Arial"/>
      <family val="2"/>
      <charset val="204"/>
    </font>
    <font>
      <b/>
      <sz val="20"/>
      <color theme="1"/>
      <name val="Arial"/>
      <family val="2"/>
      <charset val="204"/>
    </font>
    <font>
      <sz val="11"/>
      <name val="Calibri"/>
      <family val="2"/>
      <charset val="204"/>
      <scheme val="minor"/>
    </font>
    <font>
      <b/>
      <i/>
      <sz val="14"/>
      <name val="Arial"/>
      <family val="2"/>
      <charset val="204"/>
    </font>
    <font>
      <sz val="11"/>
      <color theme="0"/>
      <name val="Calibri"/>
      <family val="2"/>
      <charset val="204"/>
      <scheme val="minor"/>
    </font>
  </fonts>
  <fills count="4">
    <fill>
      <patternFill patternType="none"/>
    </fill>
    <fill>
      <patternFill patternType="gray125"/>
    </fill>
    <fill>
      <patternFill patternType="solid">
        <fgColor rgb="FF92D050"/>
        <bgColor indexed="64"/>
      </patternFill>
    </fill>
    <fill>
      <patternFill patternType="solid">
        <fgColor rgb="FFFFFF00"/>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rgb="FF000000"/>
      </bottom>
      <diagonal/>
    </border>
    <border>
      <left/>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75">
    <xf numFmtId="0" fontId="0" fillId="0" borderId="0" xfId="0"/>
    <xf numFmtId="14" fontId="3" fillId="0" borderId="5" xfId="0" applyNumberFormat="1" applyFont="1" applyFill="1" applyBorder="1" applyAlignment="1" applyProtection="1">
      <protection hidden="1"/>
    </xf>
    <xf numFmtId="0" fontId="3" fillId="0" borderId="5" xfId="0" applyFont="1" applyFill="1" applyBorder="1" applyAlignment="1" applyProtection="1">
      <protection hidden="1"/>
    </xf>
    <xf numFmtId="0" fontId="7" fillId="0" borderId="5" xfId="0" applyFont="1" applyFill="1" applyBorder="1" applyAlignment="1" applyProtection="1">
      <protection hidden="1"/>
    </xf>
    <xf numFmtId="10" fontId="7" fillId="0" borderId="5" xfId="0" applyNumberFormat="1" applyFont="1" applyFill="1" applyBorder="1" applyAlignment="1" applyProtection="1">
      <alignment vertical="center"/>
      <protection hidden="1"/>
    </xf>
    <xf numFmtId="0" fontId="0" fillId="0" borderId="0" xfId="0" applyProtection="1">
      <protection hidden="1"/>
    </xf>
    <xf numFmtId="0" fontId="6" fillId="0" borderId="0" xfId="0" applyFont="1" applyAlignment="1" applyProtection="1">
      <alignment vertical="center" wrapText="1"/>
      <protection hidden="1"/>
    </xf>
    <xf numFmtId="0" fontId="2"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0" fillId="0" borderId="0" xfId="0" applyBorder="1" applyAlignment="1" applyProtection="1">
      <alignment vertical="center" wrapText="1"/>
      <protection hidden="1"/>
    </xf>
    <xf numFmtId="0" fontId="3" fillId="0" borderId="1" xfId="0" applyFont="1" applyFill="1" applyBorder="1" applyAlignment="1" applyProtection="1">
      <alignment horizontal="center" vertical="center" wrapText="1"/>
      <protection hidden="1"/>
    </xf>
    <xf numFmtId="0" fontId="2" fillId="0" borderId="1" xfId="0" applyFont="1" applyBorder="1" applyAlignment="1" applyProtection="1">
      <alignment horizontal="center" vertical="center" wrapText="1"/>
      <protection hidden="1"/>
    </xf>
    <xf numFmtId="0" fontId="2" fillId="0" borderId="2" xfId="0" applyFont="1" applyBorder="1" applyAlignment="1" applyProtection="1">
      <alignment horizontal="center" vertical="center" wrapText="1"/>
      <protection hidden="1"/>
    </xf>
    <xf numFmtId="14" fontId="2" fillId="0" borderId="3" xfId="0" applyNumberFormat="1" applyFont="1" applyBorder="1" applyAlignment="1" applyProtection="1">
      <alignment horizontal="center" vertical="center" wrapText="1"/>
      <protection hidden="1"/>
    </xf>
    <xf numFmtId="0" fontId="2" fillId="0" borderId="5" xfId="0" applyFont="1" applyBorder="1" applyAlignment="1" applyProtection="1">
      <alignment horizontal="center" vertical="center" wrapText="1"/>
      <protection hidden="1"/>
    </xf>
    <xf numFmtId="2" fontId="2" fillId="0" borderId="10" xfId="0" applyNumberFormat="1" applyFont="1" applyFill="1" applyBorder="1" applyAlignment="1" applyProtection="1">
      <alignment horizontal="center" vertical="center" wrapText="1"/>
      <protection hidden="1"/>
    </xf>
    <xf numFmtId="0" fontId="2" fillId="0" borderId="10" xfId="0" applyFont="1" applyBorder="1" applyAlignment="1" applyProtection="1">
      <alignment horizontal="center" vertical="center" wrapText="1"/>
      <protection hidden="1"/>
    </xf>
    <xf numFmtId="2" fontId="2" fillId="0" borderId="5" xfId="0" applyNumberFormat="1" applyFont="1" applyBorder="1" applyAlignment="1" applyProtection="1">
      <alignment horizontal="center" vertical="center" wrapText="1"/>
      <protection hidden="1"/>
    </xf>
    <xf numFmtId="2" fontId="2" fillId="0" borderId="4" xfId="0" applyNumberFormat="1" applyFont="1" applyBorder="1" applyAlignment="1" applyProtection="1">
      <alignment horizontal="center" vertical="center" wrapText="1"/>
      <protection hidden="1"/>
    </xf>
    <xf numFmtId="2" fontId="2" fillId="0" borderId="1" xfId="0" applyNumberFormat="1" applyFont="1" applyBorder="1" applyAlignment="1" applyProtection="1">
      <alignment horizontal="center" vertical="center" wrapText="1"/>
      <protection hidden="1"/>
    </xf>
    <xf numFmtId="0" fontId="2" fillId="0" borderId="5" xfId="0" applyFont="1" applyBorder="1" applyAlignment="1" applyProtection="1">
      <alignment horizontal="center" vertical="center"/>
      <protection hidden="1"/>
    </xf>
    <xf numFmtId="2" fontId="2" fillId="0" borderId="10" xfId="0" applyNumberFormat="1" applyFont="1" applyBorder="1" applyAlignment="1" applyProtection="1">
      <alignment horizontal="center" vertical="center" wrapText="1"/>
      <protection hidden="1"/>
    </xf>
    <xf numFmtId="0" fontId="3" fillId="0" borderId="3" xfId="0" applyFont="1" applyFill="1" applyBorder="1" applyAlignment="1" applyProtection="1">
      <alignment horizontal="center" vertical="center" wrapText="1"/>
      <protection hidden="1"/>
    </xf>
    <xf numFmtId="2" fontId="3" fillId="0" borderId="10" xfId="0" applyNumberFormat="1" applyFont="1" applyFill="1" applyBorder="1" applyAlignment="1" applyProtection="1">
      <alignment horizontal="center" vertical="center" wrapText="1"/>
      <protection hidden="1"/>
    </xf>
    <xf numFmtId="2" fontId="3" fillId="0" borderId="5" xfId="0" applyNumberFormat="1" applyFont="1" applyFill="1" applyBorder="1" applyAlignment="1" applyProtection="1">
      <alignment horizontal="center" vertical="center" wrapText="1"/>
      <protection hidden="1"/>
    </xf>
    <xf numFmtId="2" fontId="3" fillId="0" borderId="11" xfId="0" applyNumberFormat="1" applyFont="1" applyFill="1" applyBorder="1" applyAlignment="1" applyProtection="1">
      <alignment horizontal="center" vertical="center" wrapText="1"/>
      <protection hidden="1"/>
    </xf>
    <xf numFmtId="2" fontId="3" fillId="0" borderId="12" xfId="0" applyNumberFormat="1" applyFont="1" applyFill="1" applyBorder="1" applyAlignment="1" applyProtection="1">
      <alignment horizontal="center" vertical="center" wrapText="1"/>
      <protection hidden="1"/>
    </xf>
    <xf numFmtId="2" fontId="3" fillId="0" borderId="1" xfId="0" applyNumberFormat="1" applyFont="1" applyFill="1" applyBorder="1" applyAlignment="1" applyProtection="1">
      <alignment horizontal="center" vertical="center" wrapText="1"/>
      <protection hidden="1"/>
    </xf>
    <xf numFmtId="2" fontId="3" fillId="0" borderId="3" xfId="0" applyNumberFormat="1" applyFont="1" applyFill="1" applyBorder="1" applyAlignment="1" applyProtection="1">
      <alignment horizontal="center" vertical="center" wrapText="1"/>
      <protection hidden="1"/>
    </xf>
    <xf numFmtId="10" fontId="7" fillId="0" borderId="5" xfId="0" applyNumberFormat="1" applyFont="1" applyFill="1" applyBorder="1" applyAlignment="1" applyProtection="1">
      <alignment horizontal="center" vertical="center"/>
      <protection hidden="1"/>
    </xf>
    <xf numFmtId="2" fontId="7" fillId="0" borderId="5" xfId="0" applyNumberFormat="1" applyFont="1" applyFill="1" applyBorder="1" applyAlignment="1" applyProtection="1">
      <alignment horizontal="center" vertical="center" wrapText="1"/>
      <protection hidden="1"/>
    </xf>
    <xf numFmtId="0" fontId="7" fillId="3" borderId="5" xfId="0" applyFont="1" applyFill="1" applyBorder="1" applyAlignment="1" applyProtection="1">
      <protection locked="0"/>
    </xf>
    <xf numFmtId="0" fontId="3" fillId="2" borderId="6" xfId="0" applyFont="1" applyFill="1" applyBorder="1" applyAlignment="1" applyProtection="1">
      <alignment vertical="center"/>
      <protection hidden="1"/>
    </xf>
    <xf numFmtId="0" fontId="3" fillId="2" borderId="8" xfId="0" applyFont="1" applyFill="1" applyBorder="1" applyAlignment="1" applyProtection="1">
      <alignment vertical="center"/>
      <protection hidden="1"/>
    </xf>
    <xf numFmtId="0" fontId="3" fillId="2" borderId="7" xfId="0" applyFont="1" applyFill="1" applyBorder="1" applyAlignment="1" applyProtection="1">
      <alignment vertical="center"/>
      <protection hidden="1"/>
    </xf>
    <xf numFmtId="2" fontId="0" fillId="0" borderId="0" xfId="0" applyNumberFormat="1" applyProtection="1">
      <protection hidden="1"/>
    </xf>
    <xf numFmtId="1" fontId="0" fillId="0" borderId="0" xfId="0" applyNumberFormat="1" applyProtection="1">
      <protection hidden="1"/>
    </xf>
    <xf numFmtId="2" fontId="2" fillId="0" borderId="5" xfId="0" applyNumberFormat="1" applyFont="1" applyBorder="1" applyAlignment="1" applyProtection="1">
      <alignment horizontal="center" vertical="center"/>
      <protection hidden="1"/>
    </xf>
    <xf numFmtId="1" fontId="3" fillId="0" borderId="5" xfId="0" applyNumberFormat="1" applyFont="1" applyFill="1" applyBorder="1" applyAlignment="1" applyProtection="1">
      <alignment horizontal="center" vertical="center"/>
      <protection hidden="1"/>
    </xf>
    <xf numFmtId="0" fontId="11" fillId="0" borderId="0" xfId="0" applyFont="1" applyProtection="1">
      <protection hidden="1"/>
    </xf>
    <xf numFmtId="0" fontId="3" fillId="0" borderId="3" xfId="0" applyFont="1" applyFill="1" applyBorder="1" applyAlignment="1" applyProtection="1">
      <alignment horizontal="center" vertical="center" wrapText="1"/>
      <protection hidden="1"/>
    </xf>
    <xf numFmtId="0" fontId="3" fillId="0" borderId="10" xfId="0" applyFont="1" applyFill="1" applyBorder="1" applyAlignment="1" applyProtection="1">
      <alignment horizontal="center" vertical="center" wrapText="1"/>
      <protection hidden="1"/>
    </xf>
    <xf numFmtId="0" fontId="3" fillId="0" borderId="4" xfId="0" applyFont="1" applyFill="1" applyBorder="1" applyAlignment="1" applyProtection="1">
      <alignment horizontal="center" vertical="center" wrapText="1"/>
      <protection hidden="1"/>
    </xf>
    <xf numFmtId="0" fontId="3" fillId="0" borderId="1" xfId="0" applyFont="1" applyFill="1" applyBorder="1" applyAlignment="1" applyProtection="1">
      <alignment horizontal="center" vertical="center" wrapText="1"/>
      <protection hidden="1"/>
    </xf>
    <xf numFmtId="0" fontId="3" fillId="2" borderId="5" xfId="0" applyFont="1" applyFill="1" applyBorder="1" applyAlignment="1" applyProtection="1">
      <alignment vertical="center"/>
      <protection hidden="1"/>
    </xf>
    <xf numFmtId="0" fontId="0" fillId="0" borderId="5" xfId="0" applyBorder="1" applyAlignment="1" applyProtection="1">
      <alignment vertical="center"/>
      <protection hidden="1"/>
    </xf>
    <xf numFmtId="2" fontId="3" fillId="0" borderId="5" xfId="0" applyNumberFormat="1" applyFont="1" applyBorder="1" applyAlignment="1" applyProtection="1">
      <alignment horizontal="left"/>
      <protection hidden="1"/>
    </xf>
    <xf numFmtId="0" fontId="0" fillId="0" borderId="5" xfId="0" applyBorder="1" applyAlignment="1" applyProtection="1">
      <alignment horizontal="left"/>
      <protection hidden="1"/>
    </xf>
    <xf numFmtId="0" fontId="6" fillId="0" borderId="5" xfId="0" applyFont="1" applyFill="1" applyBorder="1" applyAlignment="1" applyProtection="1">
      <protection hidden="1"/>
    </xf>
    <xf numFmtId="0" fontId="2" fillId="0" borderId="0" xfId="0" applyFont="1" applyAlignment="1" applyProtection="1">
      <alignment horizontal="center" wrapText="1"/>
      <protection hidden="1"/>
    </xf>
    <xf numFmtId="0" fontId="2" fillId="0" borderId="9" xfId="0" applyFont="1" applyBorder="1" applyAlignment="1" applyProtection="1">
      <alignment horizontal="center" wrapText="1"/>
      <protection hidden="1"/>
    </xf>
    <xf numFmtId="0" fontId="8" fillId="0" borderId="0" xfId="0" applyFont="1" applyAlignment="1">
      <alignment wrapText="1"/>
    </xf>
    <xf numFmtId="0" fontId="8" fillId="0" borderId="0" xfId="0" applyFont="1" applyAlignment="1"/>
    <xf numFmtId="0" fontId="3" fillId="2" borderId="6" xfId="0" applyFont="1" applyFill="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2" fillId="0" borderId="5" xfId="0" applyFont="1" applyBorder="1" applyAlignment="1" applyProtection="1">
      <protection hidden="1"/>
    </xf>
    <xf numFmtId="0" fontId="3" fillId="2" borderId="5" xfId="0" applyFont="1" applyFill="1" applyBorder="1" applyAlignment="1" applyProtection="1">
      <protection hidden="1"/>
    </xf>
    <xf numFmtId="0" fontId="0" fillId="0" borderId="5" xfId="0" applyBorder="1" applyAlignment="1" applyProtection="1">
      <protection hidden="1"/>
    </xf>
    <xf numFmtId="10" fontId="3" fillId="0" borderId="5" xfId="0" applyNumberFormat="1" applyFont="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0" xfId="0" applyFont="1" applyBorder="1" applyAlignment="1">
      <alignment horizontal="left" wrapText="1"/>
    </xf>
    <xf numFmtId="0" fontId="1" fillId="0" borderId="0" xfId="0" applyFont="1" applyAlignment="1">
      <alignment horizontal="left"/>
    </xf>
    <xf numFmtId="2" fontId="3" fillId="0" borderId="6" xfId="0" applyNumberFormat="1" applyFont="1" applyBorder="1" applyAlignment="1" applyProtection="1">
      <alignment horizontal="left"/>
      <protection hidden="1"/>
    </xf>
    <xf numFmtId="2" fontId="3" fillId="0" borderId="8" xfId="0" applyNumberFormat="1" applyFont="1" applyBorder="1" applyAlignment="1" applyProtection="1">
      <alignment horizontal="left"/>
      <protection hidden="1"/>
    </xf>
    <xf numFmtId="2" fontId="3" fillId="0" borderId="7" xfId="0" applyNumberFormat="1" applyFont="1" applyBorder="1" applyAlignment="1" applyProtection="1">
      <alignment horizontal="left"/>
      <protection hidden="1"/>
    </xf>
    <xf numFmtId="0" fontId="6" fillId="0" borderId="5" xfId="0" applyFont="1" applyFill="1" applyBorder="1" applyAlignment="1" applyProtection="1">
      <alignment wrapText="1"/>
      <protection hidden="1"/>
    </xf>
    <xf numFmtId="2" fontId="3" fillId="0" borderId="6" xfId="0" applyNumberFormat="1" applyFont="1" applyBorder="1" applyAlignment="1" applyProtection="1">
      <alignment horizontal="left" vertical="center"/>
      <protection hidden="1"/>
    </xf>
    <xf numFmtId="2" fontId="3" fillId="0" borderId="8" xfId="0" applyNumberFormat="1" applyFont="1" applyBorder="1" applyAlignment="1" applyProtection="1">
      <alignment horizontal="left" vertical="center"/>
      <protection hidden="1"/>
    </xf>
    <xf numFmtId="2" fontId="3" fillId="0" borderId="7" xfId="0" applyNumberFormat="1" applyFont="1" applyBorder="1" applyAlignment="1" applyProtection="1">
      <alignment horizontal="left" vertical="center"/>
      <protection hidden="1"/>
    </xf>
    <xf numFmtId="0" fontId="6" fillId="0" borderId="0" xfId="0" applyFont="1" applyAlignment="1">
      <alignment vertical="center" wrapText="1"/>
    </xf>
    <xf numFmtId="0" fontId="9" fillId="0" borderId="0" xfId="0" applyFont="1" applyAlignment="1">
      <alignment vertical="center" wrapText="1"/>
    </xf>
    <xf numFmtId="0" fontId="9" fillId="0" borderId="5" xfId="0" applyFont="1" applyFill="1" applyBorder="1" applyAlignment="1" applyProtection="1">
      <alignment wrapText="1"/>
      <protection hidden="1"/>
    </xf>
    <xf numFmtId="0" fontId="6" fillId="0" borderId="0" xfId="0" applyFont="1" applyAlignment="1" applyProtection="1">
      <alignment vertical="center" wrapText="1"/>
      <protection hidden="1"/>
    </xf>
    <xf numFmtId="0" fontId="9" fillId="0" borderId="0" xfId="0" applyFont="1" applyAlignment="1" applyProtection="1">
      <alignment vertical="center" wrapText="1"/>
      <protection hidden="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388620</xdr:colOff>
          <xdr:row>0</xdr:row>
          <xdr:rowOff>83820</xdr:rowOff>
        </xdr:from>
        <xdr:to>
          <xdr:col>14</xdr:col>
          <xdr:colOff>830580</xdr:colOff>
          <xdr:row>2</xdr:row>
          <xdr:rowOff>152400</xdr:rowOff>
        </xdr:to>
        <xdr:sp macro="" textlink="">
          <xdr:nvSpPr>
            <xdr:cNvPr id="1026" name="Object 2" hidden="1">
              <a:extLst>
                <a:ext uri="{63B3BB69-23CF-44E3-9099-C40C66FF867C}">
                  <a14:compatExt spid="_x0000_s102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4:S56"/>
  <sheetViews>
    <sheetView tabSelected="1" view="pageBreakPreview" zoomScale="70" zoomScaleNormal="100" zoomScaleSheetLayoutView="70" workbookViewId="0">
      <selection activeCell="B1" sqref="B1"/>
    </sheetView>
  </sheetViews>
  <sheetFormatPr defaultRowHeight="14.4" x14ac:dyDescent="0.3"/>
  <cols>
    <col min="2" max="2" width="11.109375" customWidth="1"/>
    <col min="3" max="3" width="15.44140625" bestFit="1" customWidth="1"/>
    <col min="4" max="4" width="11.44140625" bestFit="1" customWidth="1"/>
    <col min="5" max="5" width="15.88671875" bestFit="1" customWidth="1"/>
    <col min="6" max="6" width="15.6640625" bestFit="1" customWidth="1"/>
    <col min="7" max="7" width="15.88671875" bestFit="1" customWidth="1"/>
    <col min="8" max="8" width="17.109375" customWidth="1"/>
    <col min="9" max="9" width="10.88671875" customWidth="1"/>
    <col min="10" max="10" width="12.88671875" customWidth="1"/>
    <col min="11" max="11" width="19" customWidth="1"/>
    <col min="12" max="12" width="21.44140625" customWidth="1"/>
    <col min="13" max="13" width="12.88671875" customWidth="1"/>
    <col min="14" max="14" width="15" customWidth="1"/>
    <col min="15" max="15" width="12.88671875" customWidth="1"/>
    <col min="16" max="16" width="13" bestFit="1" customWidth="1"/>
    <col min="17" max="17" width="9.6640625" bestFit="1" customWidth="1"/>
    <col min="18" max="18" width="15" customWidth="1"/>
    <col min="19" max="19" width="14.6640625" bestFit="1" customWidth="1"/>
  </cols>
  <sheetData>
    <row r="4" spans="2:18" ht="52.65" customHeight="1" x14ac:dyDescent="0.4">
      <c r="B4" s="51"/>
      <c r="C4" s="52"/>
      <c r="D4" s="52"/>
      <c r="E4" s="52"/>
      <c r="F4" s="52"/>
      <c r="G4" s="52"/>
      <c r="H4" s="52"/>
      <c r="I4" s="52"/>
      <c r="J4" s="52"/>
      <c r="K4" s="52"/>
      <c r="L4" s="52"/>
      <c r="M4" s="52"/>
      <c r="N4" s="52"/>
      <c r="O4" s="52"/>
    </row>
    <row r="5" spans="2:18" ht="32.700000000000003" customHeight="1" x14ac:dyDescent="0.3">
      <c r="B5" s="61"/>
      <c r="C5" s="62"/>
      <c r="D5" s="62"/>
      <c r="E5" s="62"/>
      <c r="F5" s="62"/>
      <c r="G5" s="62"/>
      <c r="H5" s="62"/>
      <c r="I5" s="62"/>
      <c r="J5" s="62"/>
      <c r="K5" s="62"/>
      <c r="L5" s="62"/>
      <c r="M5" s="62"/>
      <c r="N5" s="62"/>
      <c r="O5" s="62"/>
      <c r="P5" s="62"/>
      <c r="Q5" s="62"/>
      <c r="R5" s="62"/>
    </row>
    <row r="6" spans="2:18" ht="41.55" customHeight="1" x14ac:dyDescent="0.3">
      <c r="B6" s="53" t="s">
        <v>24</v>
      </c>
      <c r="C6" s="54"/>
      <c r="D6" s="54"/>
      <c r="E6" s="54"/>
      <c r="F6" s="54"/>
      <c r="G6" s="54"/>
      <c r="H6" s="55"/>
      <c r="J6" s="44" t="s">
        <v>32</v>
      </c>
      <c r="K6" s="45"/>
      <c r="L6" s="45"/>
      <c r="M6" s="45"/>
      <c r="N6" s="45"/>
      <c r="O6" s="45"/>
    </row>
    <row r="7" spans="2:18" ht="17.399999999999999" x14ac:dyDescent="0.3">
      <c r="B7" s="56" t="s">
        <v>22</v>
      </c>
      <c r="C7" s="56"/>
      <c r="D7" s="56"/>
      <c r="E7" s="56"/>
      <c r="F7" s="56"/>
      <c r="G7" s="56"/>
      <c r="H7" s="1">
        <f ca="1">NOW()</f>
        <v>45441.711922337963</v>
      </c>
      <c r="J7" s="46">
        <f ca="1">E50</f>
        <v>5818.9028618090451</v>
      </c>
      <c r="K7" s="47"/>
      <c r="L7" s="47"/>
      <c r="M7" s="47"/>
      <c r="N7" s="47"/>
      <c r="O7" s="47"/>
    </row>
    <row r="8" spans="2:18" ht="17.399999999999999" x14ac:dyDescent="0.3">
      <c r="B8" s="56" t="s">
        <v>28</v>
      </c>
      <c r="C8" s="56"/>
      <c r="D8" s="56"/>
      <c r="E8" s="56"/>
      <c r="F8" s="56"/>
      <c r="G8" s="56"/>
      <c r="H8" s="31">
        <v>10000</v>
      </c>
      <c r="J8" s="57" t="s">
        <v>31</v>
      </c>
      <c r="K8" s="58"/>
      <c r="L8" s="58"/>
      <c r="M8" s="58"/>
      <c r="N8" s="58"/>
      <c r="O8" s="58"/>
    </row>
    <row r="9" spans="2:18" ht="17.399999999999999" x14ac:dyDescent="0.3">
      <c r="B9" s="56" t="s">
        <v>29</v>
      </c>
      <c r="C9" s="56"/>
      <c r="D9" s="56"/>
      <c r="E9" s="56"/>
      <c r="F9" s="56"/>
      <c r="G9" s="56"/>
      <c r="H9" s="2">
        <v>12</v>
      </c>
      <c r="J9" s="59">
        <f ca="1">R51</f>
        <v>0.42926653027534489</v>
      </c>
      <c r="K9" s="60"/>
      <c r="L9" s="60"/>
      <c r="M9" s="60"/>
      <c r="N9" s="60"/>
      <c r="O9" s="60"/>
    </row>
    <row r="10" spans="2:18" ht="17.399999999999999" x14ac:dyDescent="0.3">
      <c r="B10" s="48" t="s">
        <v>23</v>
      </c>
      <c r="C10" s="48"/>
      <c r="D10" s="48"/>
      <c r="E10" s="48"/>
      <c r="F10" s="48"/>
      <c r="G10" s="48"/>
      <c r="H10" s="3">
        <v>30</v>
      </c>
      <c r="J10" s="57" t="s">
        <v>41</v>
      </c>
      <c r="K10" s="58"/>
      <c r="L10" s="58"/>
      <c r="M10" s="58"/>
      <c r="N10" s="58"/>
      <c r="O10" s="58"/>
    </row>
    <row r="11" spans="2:18" ht="51" customHeight="1" x14ac:dyDescent="0.3">
      <c r="B11" s="66" t="s">
        <v>36</v>
      </c>
      <c r="C11" s="66"/>
      <c r="D11" s="66"/>
      <c r="E11" s="66"/>
      <c r="F11" s="66"/>
      <c r="G11" s="66"/>
      <c r="H11" s="4">
        <v>0.04</v>
      </c>
      <c r="J11" s="59">
        <f ca="1">SUM(G51:Q51)/F51/D51</f>
        <v>7.4205226606460144E-4</v>
      </c>
      <c r="K11" s="60"/>
      <c r="L11" s="60"/>
      <c r="M11" s="60"/>
      <c r="N11" s="60"/>
      <c r="O11" s="60"/>
    </row>
    <row r="12" spans="2:18" ht="17.399999999999999" x14ac:dyDescent="0.3">
      <c r="B12" s="66" t="s">
        <v>34</v>
      </c>
      <c r="C12" s="72"/>
      <c r="D12" s="72"/>
      <c r="E12" s="72"/>
      <c r="F12" s="72"/>
      <c r="G12" s="72"/>
      <c r="H12" s="4">
        <v>0</v>
      </c>
      <c r="J12" s="57" t="s">
        <v>35</v>
      </c>
      <c r="K12" s="58"/>
      <c r="L12" s="58"/>
      <c r="M12" s="58"/>
      <c r="N12" s="58"/>
      <c r="O12" s="58"/>
    </row>
    <row r="13" spans="2:18" ht="17.399999999999999" x14ac:dyDescent="0.3">
      <c r="B13" s="66" t="s">
        <v>37</v>
      </c>
      <c r="C13" s="72"/>
      <c r="D13" s="72"/>
      <c r="E13" s="72"/>
      <c r="F13" s="72"/>
      <c r="G13" s="72"/>
      <c r="H13" s="4">
        <v>0</v>
      </c>
      <c r="J13" s="67">
        <f ca="1">S51</f>
        <v>12708.490771135796</v>
      </c>
      <c r="K13" s="68"/>
      <c r="L13" s="68"/>
      <c r="M13" s="68"/>
      <c r="N13" s="68"/>
      <c r="O13" s="69"/>
    </row>
    <row r="14" spans="2:18" ht="17.399999999999999" x14ac:dyDescent="0.3">
      <c r="B14" s="66" t="s">
        <v>38</v>
      </c>
      <c r="C14" s="72"/>
      <c r="D14" s="72"/>
      <c r="E14" s="72"/>
      <c r="F14" s="72"/>
      <c r="G14" s="72"/>
      <c r="H14" s="4">
        <v>0</v>
      </c>
      <c r="J14" s="32" t="s">
        <v>33</v>
      </c>
      <c r="K14" s="33"/>
      <c r="L14" s="33"/>
      <c r="M14" s="33"/>
      <c r="N14" s="33"/>
      <c r="O14" s="34"/>
    </row>
    <row r="15" spans="2:18" ht="34.799999999999997" customHeight="1" x14ac:dyDescent="0.3">
      <c r="B15" s="39" t="s">
        <v>40</v>
      </c>
      <c r="C15" s="39"/>
      <c r="D15" s="39"/>
      <c r="E15" s="39"/>
      <c r="F15" s="39"/>
      <c r="G15" s="39"/>
      <c r="H15" s="39">
        <v>5</v>
      </c>
      <c r="J15" s="63">
        <f ca="1">SUM(G51:Q51)</f>
        <v>2708.4907711357955</v>
      </c>
      <c r="K15" s="64"/>
      <c r="L15" s="64"/>
      <c r="M15" s="64"/>
      <c r="N15" s="64"/>
      <c r="O15" s="65"/>
    </row>
    <row r="16" spans="2:18" s="5" customFormat="1" x14ac:dyDescent="0.3"/>
    <row r="17" spans="2:19" s="5" customFormat="1" ht="14.85" customHeight="1" x14ac:dyDescent="0.3">
      <c r="B17" s="70" t="s">
        <v>42</v>
      </c>
      <c r="C17" s="70"/>
      <c r="D17" s="70"/>
      <c r="E17" s="70"/>
      <c r="F17" s="70"/>
      <c r="G17" s="70"/>
      <c r="H17" s="70"/>
      <c r="I17" s="70"/>
      <c r="J17" s="70"/>
      <c r="K17" s="70"/>
      <c r="L17" s="70"/>
      <c r="M17" s="70"/>
      <c r="N17" s="70"/>
      <c r="O17" s="70"/>
      <c r="P17" s="70"/>
      <c r="Q17" s="70"/>
      <c r="R17" s="70"/>
    </row>
    <row r="18" spans="2:19" s="5" customFormat="1" ht="14.85" customHeight="1" x14ac:dyDescent="0.3">
      <c r="B18" s="70"/>
      <c r="C18" s="70"/>
      <c r="D18" s="70"/>
      <c r="E18" s="70"/>
      <c r="F18" s="70"/>
      <c r="G18" s="70"/>
      <c r="H18" s="70"/>
      <c r="I18" s="70"/>
      <c r="J18" s="70"/>
      <c r="K18" s="70"/>
      <c r="L18" s="70"/>
      <c r="M18" s="70"/>
      <c r="N18" s="70"/>
      <c r="O18" s="70"/>
      <c r="P18" s="70"/>
      <c r="Q18" s="70"/>
      <c r="R18" s="70"/>
    </row>
    <row r="19" spans="2:19" s="5" customFormat="1" ht="14.85" customHeight="1" x14ac:dyDescent="0.3">
      <c r="B19" s="70"/>
      <c r="C19" s="70"/>
      <c r="D19" s="70"/>
      <c r="E19" s="70"/>
      <c r="F19" s="70"/>
      <c r="G19" s="70"/>
      <c r="H19" s="70"/>
      <c r="I19" s="70"/>
      <c r="J19" s="70"/>
      <c r="K19" s="70"/>
      <c r="L19" s="70"/>
      <c r="M19" s="70"/>
      <c r="N19" s="70"/>
      <c r="O19" s="70"/>
      <c r="P19" s="70"/>
      <c r="Q19" s="70"/>
      <c r="R19" s="70"/>
    </row>
    <row r="20" spans="2:19" s="5" customFormat="1" ht="14.85" customHeight="1" x14ac:dyDescent="0.3">
      <c r="B20" s="70"/>
      <c r="C20" s="70"/>
      <c r="D20" s="70"/>
      <c r="E20" s="70"/>
      <c r="F20" s="70"/>
      <c r="G20" s="70"/>
      <c r="H20" s="70"/>
      <c r="I20" s="70"/>
      <c r="J20" s="70"/>
      <c r="K20" s="70"/>
      <c r="L20" s="70"/>
      <c r="M20" s="70"/>
      <c r="N20" s="70"/>
      <c r="O20" s="70"/>
      <c r="P20" s="70"/>
      <c r="Q20" s="70"/>
      <c r="R20" s="70"/>
    </row>
    <row r="21" spans="2:19" s="5" customFormat="1" ht="14.85" customHeight="1" x14ac:dyDescent="0.3">
      <c r="B21" s="70"/>
      <c r="C21" s="70"/>
      <c r="D21" s="70"/>
      <c r="E21" s="70"/>
      <c r="F21" s="70"/>
      <c r="G21" s="70"/>
      <c r="H21" s="70"/>
      <c r="I21" s="70"/>
      <c r="J21" s="70"/>
      <c r="K21" s="70"/>
      <c r="L21" s="70"/>
      <c r="M21" s="70"/>
      <c r="N21" s="70"/>
      <c r="O21" s="70"/>
      <c r="P21" s="70"/>
      <c r="Q21" s="70"/>
      <c r="R21" s="70"/>
    </row>
    <row r="22" spans="2:19" s="5" customFormat="1" ht="14.4" customHeight="1" x14ac:dyDescent="0.3">
      <c r="B22" s="70"/>
      <c r="C22" s="70"/>
      <c r="D22" s="70"/>
      <c r="E22" s="70"/>
      <c r="F22" s="70"/>
      <c r="G22" s="70"/>
      <c r="H22" s="70"/>
      <c r="I22" s="70"/>
      <c r="J22" s="70"/>
      <c r="K22" s="70"/>
      <c r="L22" s="70"/>
      <c r="M22" s="70"/>
      <c r="N22" s="70"/>
      <c r="O22" s="70"/>
      <c r="P22" s="70"/>
      <c r="Q22" s="70"/>
      <c r="R22" s="70"/>
    </row>
    <row r="23" spans="2:19" s="5" customFormat="1" ht="14.4" customHeight="1" x14ac:dyDescent="0.3">
      <c r="B23" s="70"/>
      <c r="C23" s="70"/>
      <c r="D23" s="70"/>
      <c r="E23" s="70"/>
      <c r="F23" s="70"/>
      <c r="G23" s="70"/>
      <c r="H23" s="70"/>
      <c r="I23" s="70"/>
      <c r="J23" s="70"/>
      <c r="K23" s="70"/>
      <c r="L23" s="70"/>
      <c r="M23" s="70"/>
      <c r="N23" s="70"/>
      <c r="O23" s="70"/>
      <c r="P23" s="70"/>
      <c r="Q23" s="70"/>
      <c r="R23" s="70"/>
    </row>
    <row r="24" spans="2:19" s="5" customFormat="1" ht="14.4" customHeight="1" x14ac:dyDescent="0.3">
      <c r="B24" s="70"/>
      <c r="C24" s="70"/>
      <c r="D24" s="70"/>
      <c r="E24" s="70"/>
      <c r="F24" s="70"/>
      <c r="G24" s="70"/>
      <c r="H24" s="70"/>
      <c r="I24" s="70"/>
      <c r="J24" s="70"/>
      <c r="K24" s="70"/>
      <c r="L24" s="70"/>
      <c r="M24" s="70"/>
      <c r="N24" s="70"/>
      <c r="O24" s="70"/>
      <c r="P24" s="70"/>
      <c r="Q24" s="70"/>
      <c r="R24" s="70"/>
    </row>
    <row r="25" spans="2:19" s="5" customFormat="1" ht="117" customHeight="1" x14ac:dyDescent="0.3">
      <c r="B25" s="71"/>
      <c r="C25" s="71"/>
      <c r="D25" s="71"/>
      <c r="E25" s="71"/>
      <c r="F25" s="71"/>
      <c r="G25" s="71"/>
      <c r="H25" s="71"/>
      <c r="I25" s="71"/>
      <c r="J25" s="71"/>
      <c r="K25" s="71"/>
      <c r="L25" s="71"/>
      <c r="M25" s="71"/>
      <c r="N25" s="71"/>
      <c r="O25" s="71"/>
      <c r="P25" s="71"/>
      <c r="Q25" s="71"/>
      <c r="R25" s="71"/>
    </row>
    <row r="26" spans="2:19" s="5" customFormat="1" ht="14.85" customHeight="1" x14ac:dyDescent="0.3">
      <c r="B26" s="6"/>
      <c r="C26" s="6"/>
      <c r="D26" s="6"/>
      <c r="E26" s="6"/>
      <c r="F26" s="6"/>
      <c r="G26" s="6"/>
      <c r="H26" s="6"/>
      <c r="I26" s="6"/>
      <c r="J26" s="6"/>
      <c r="K26" s="6"/>
      <c r="L26" s="6"/>
      <c r="M26" s="6"/>
      <c r="N26" s="6"/>
      <c r="O26" s="6"/>
      <c r="P26" s="6"/>
      <c r="Q26" s="6"/>
      <c r="R26" s="6"/>
    </row>
    <row r="27" spans="2:19" s="5" customFormat="1" ht="27.45" customHeight="1" x14ac:dyDescent="0.3">
      <c r="B27" s="73" t="s">
        <v>39</v>
      </c>
      <c r="C27" s="74"/>
      <c r="D27" s="74"/>
      <c r="E27" s="74"/>
      <c r="F27" s="74"/>
      <c r="G27" s="74"/>
      <c r="H27" s="74"/>
      <c r="I27" s="74"/>
      <c r="J27" s="74"/>
      <c r="K27" s="74"/>
      <c r="L27" s="74"/>
      <c r="M27" s="74"/>
      <c r="N27" s="74"/>
      <c r="O27" s="74"/>
      <c r="P27" s="74"/>
      <c r="Q27" s="74"/>
      <c r="R27" s="74"/>
    </row>
    <row r="28" spans="2:19" s="5" customFormat="1" ht="27.45" customHeight="1" x14ac:dyDescent="0.3">
      <c r="B28" s="7"/>
      <c r="C28" s="8"/>
      <c r="D28" s="8"/>
      <c r="E28" s="8"/>
      <c r="F28" s="8"/>
      <c r="G28" s="9"/>
      <c r="H28" s="9"/>
      <c r="I28" s="8"/>
      <c r="J28" s="8"/>
      <c r="K28" s="8"/>
      <c r="L28" s="8"/>
      <c r="M28" s="8"/>
      <c r="N28" s="8"/>
      <c r="O28" s="8"/>
      <c r="P28" s="8"/>
      <c r="Q28" s="8"/>
      <c r="R28" s="8"/>
    </row>
    <row r="29" spans="2:19" s="5" customFormat="1" ht="28.2" customHeight="1" x14ac:dyDescent="0.3">
      <c r="B29" s="49" t="s">
        <v>30</v>
      </c>
      <c r="C29" s="49"/>
      <c r="D29" s="49"/>
      <c r="E29" s="49"/>
      <c r="F29" s="49"/>
      <c r="G29" s="49"/>
      <c r="H29" s="49"/>
      <c r="I29" s="49"/>
      <c r="J29" s="49"/>
      <c r="K29" s="49"/>
      <c r="L29" s="49"/>
      <c r="M29" s="49"/>
      <c r="N29" s="49"/>
      <c r="O29" s="49"/>
      <c r="P29" s="49"/>
      <c r="Q29" s="49"/>
      <c r="R29" s="49"/>
      <c r="S29" s="49"/>
    </row>
    <row r="30" spans="2:19" s="5" customFormat="1" ht="28.2" customHeight="1" x14ac:dyDescent="0.3">
      <c r="B30" s="49"/>
      <c r="C30" s="49"/>
      <c r="D30" s="49"/>
      <c r="E30" s="49"/>
      <c r="F30" s="49"/>
      <c r="G30" s="49"/>
      <c r="H30" s="49"/>
      <c r="I30" s="49"/>
      <c r="J30" s="49"/>
      <c r="K30" s="49"/>
      <c r="L30" s="49"/>
      <c r="M30" s="49"/>
      <c r="N30" s="49"/>
      <c r="O30" s="49"/>
      <c r="P30" s="49"/>
      <c r="Q30" s="49"/>
      <c r="R30" s="49"/>
      <c r="S30" s="49"/>
    </row>
    <row r="31" spans="2:19" s="5" customFormat="1" ht="28.2" customHeight="1" x14ac:dyDescent="0.3">
      <c r="B31" s="50"/>
      <c r="C31" s="50"/>
      <c r="D31" s="50"/>
      <c r="E31" s="50"/>
      <c r="F31" s="50"/>
      <c r="G31" s="50"/>
      <c r="H31" s="50"/>
      <c r="I31" s="50"/>
      <c r="J31" s="50"/>
      <c r="K31" s="50"/>
      <c r="L31" s="50"/>
      <c r="M31" s="50"/>
      <c r="N31" s="50"/>
      <c r="O31" s="50"/>
      <c r="P31" s="50"/>
      <c r="Q31" s="50"/>
      <c r="R31" s="50"/>
      <c r="S31" s="50"/>
    </row>
    <row r="32" spans="2:19" s="5" customFormat="1" ht="17.850000000000001" customHeight="1" x14ac:dyDescent="0.3">
      <c r="B32" s="43" t="s">
        <v>0</v>
      </c>
      <c r="C32" s="43" t="s">
        <v>1</v>
      </c>
      <c r="D32" s="43" t="s">
        <v>2</v>
      </c>
      <c r="E32" s="43" t="s">
        <v>3</v>
      </c>
      <c r="F32" s="40" t="s">
        <v>4</v>
      </c>
      <c r="G32" s="41"/>
      <c r="H32" s="41"/>
      <c r="I32" s="41"/>
      <c r="J32" s="41"/>
      <c r="K32" s="41"/>
      <c r="L32" s="41"/>
      <c r="M32" s="41"/>
      <c r="N32" s="41"/>
      <c r="O32" s="41"/>
      <c r="P32" s="41"/>
      <c r="Q32" s="42"/>
      <c r="R32" s="43" t="s">
        <v>5</v>
      </c>
      <c r="S32" s="43" t="s">
        <v>6</v>
      </c>
    </row>
    <row r="33" spans="2:19" s="5" customFormat="1" ht="17.850000000000001" customHeight="1" x14ac:dyDescent="0.3">
      <c r="B33" s="43"/>
      <c r="C33" s="43"/>
      <c r="D33" s="43"/>
      <c r="E33" s="43"/>
      <c r="F33" s="43" t="s">
        <v>7</v>
      </c>
      <c r="G33" s="43" t="s">
        <v>8</v>
      </c>
      <c r="H33" s="40" t="s">
        <v>9</v>
      </c>
      <c r="I33" s="41"/>
      <c r="J33" s="41"/>
      <c r="K33" s="41"/>
      <c r="L33" s="41"/>
      <c r="M33" s="41"/>
      <c r="N33" s="41"/>
      <c r="O33" s="41"/>
      <c r="P33" s="41"/>
      <c r="Q33" s="42"/>
      <c r="R33" s="43"/>
      <c r="S33" s="43"/>
    </row>
    <row r="34" spans="2:19" s="5" customFormat="1" ht="53.4" customHeight="1" x14ac:dyDescent="0.3">
      <c r="B34" s="43"/>
      <c r="C34" s="43"/>
      <c r="D34" s="43"/>
      <c r="E34" s="43"/>
      <c r="F34" s="43"/>
      <c r="G34" s="43"/>
      <c r="H34" s="43" t="s">
        <v>10</v>
      </c>
      <c r="I34" s="43"/>
      <c r="J34" s="43"/>
      <c r="K34" s="43"/>
      <c r="L34" s="40" t="s">
        <v>11</v>
      </c>
      <c r="M34" s="42"/>
      <c r="N34" s="43" t="s">
        <v>12</v>
      </c>
      <c r="O34" s="43"/>
      <c r="P34" s="43"/>
      <c r="Q34" s="43"/>
      <c r="R34" s="43"/>
      <c r="S34" s="43"/>
    </row>
    <row r="35" spans="2:19" s="5" customFormat="1" ht="123.6" x14ac:dyDescent="0.3">
      <c r="B35" s="43"/>
      <c r="C35" s="43"/>
      <c r="D35" s="43"/>
      <c r="E35" s="43"/>
      <c r="F35" s="43"/>
      <c r="G35" s="43"/>
      <c r="H35" s="10" t="s">
        <v>13</v>
      </c>
      <c r="I35" s="10" t="s">
        <v>14</v>
      </c>
      <c r="J35" s="10" t="s">
        <v>15</v>
      </c>
      <c r="K35" s="10" t="s">
        <v>25</v>
      </c>
      <c r="L35" s="10" t="s">
        <v>16</v>
      </c>
      <c r="M35" s="10" t="s">
        <v>27</v>
      </c>
      <c r="N35" s="10" t="s">
        <v>17</v>
      </c>
      <c r="O35" s="10" t="s">
        <v>18</v>
      </c>
      <c r="P35" s="10" t="s">
        <v>19</v>
      </c>
      <c r="Q35" s="10" t="s">
        <v>26</v>
      </c>
      <c r="R35" s="43"/>
      <c r="S35" s="43"/>
    </row>
    <row r="36" spans="2:19" s="5" customFormat="1" ht="17.399999999999999" x14ac:dyDescent="0.3">
      <c r="B36" s="11">
        <v>1</v>
      </c>
      <c r="C36" s="11">
        <v>2</v>
      </c>
      <c r="D36" s="12">
        <v>3</v>
      </c>
      <c r="E36" s="11">
        <v>4</v>
      </c>
      <c r="F36" s="12">
        <v>5</v>
      </c>
      <c r="G36" s="11">
        <v>6</v>
      </c>
      <c r="H36" s="12">
        <v>7</v>
      </c>
      <c r="I36" s="12">
        <v>8</v>
      </c>
      <c r="J36" s="12">
        <v>9</v>
      </c>
      <c r="K36" s="11">
        <v>10</v>
      </c>
      <c r="L36" s="11">
        <v>11</v>
      </c>
      <c r="M36" s="11">
        <v>12</v>
      </c>
      <c r="N36" s="11">
        <v>13</v>
      </c>
      <c r="O36" s="11">
        <v>14</v>
      </c>
      <c r="P36" s="11">
        <v>15</v>
      </c>
      <c r="Q36" s="11">
        <v>16</v>
      </c>
      <c r="R36" s="11">
        <v>17</v>
      </c>
      <c r="S36" s="11">
        <v>18</v>
      </c>
    </row>
    <row r="37" spans="2:19" s="5" customFormat="1" ht="17.399999999999999" x14ac:dyDescent="0.3">
      <c r="B37" s="11">
        <v>1</v>
      </c>
      <c r="C37" s="13">
        <f ca="1">$H$7</f>
        <v>45441.711922337963</v>
      </c>
      <c r="D37" s="14" t="s">
        <v>20</v>
      </c>
      <c r="E37" s="15">
        <f>$H$8*(-1)+SUM(J37:Q37)</f>
        <v>-9600</v>
      </c>
      <c r="F37" s="17">
        <f>H8</f>
        <v>10000</v>
      </c>
      <c r="G37" s="16" t="s">
        <v>20</v>
      </c>
      <c r="H37" s="37">
        <v>0</v>
      </c>
      <c r="I37" s="37">
        <v>0</v>
      </c>
      <c r="J37" s="17">
        <f>$H$8*H11</f>
        <v>400</v>
      </c>
      <c r="K37" s="18">
        <v>0</v>
      </c>
      <c r="L37" s="19">
        <v>0</v>
      </c>
      <c r="M37" s="19">
        <v>0</v>
      </c>
      <c r="N37" s="19">
        <v>0</v>
      </c>
      <c r="O37" s="19">
        <v>0</v>
      </c>
      <c r="P37" s="19">
        <v>0</v>
      </c>
      <c r="Q37" s="19">
        <v>0</v>
      </c>
      <c r="R37" s="11" t="s">
        <v>20</v>
      </c>
      <c r="S37" s="11" t="s">
        <v>20</v>
      </c>
    </row>
    <row r="38" spans="2:19" s="5" customFormat="1" ht="17.399999999999999" x14ac:dyDescent="0.3">
      <c r="B38" s="11">
        <v>2</v>
      </c>
      <c r="C38" s="13">
        <f ca="1">WORKDAY(EOMONTH(C37,0)+1,-1)</f>
        <v>45443</v>
      </c>
      <c r="D38" s="20">
        <f ca="1">IF($H$8="Сума власного внеску повинна бути не менше 30%",0,IF($H$9=1,_xlfn.DAYS(C38,C37)-1,_xlfn.DAYS(C38,C37)+1))</f>
        <v>3</v>
      </c>
      <c r="E38" s="21">
        <f ca="1">SUM(F38:Q38)</f>
        <v>24.657534246575345</v>
      </c>
      <c r="F38" s="17">
        <v>0</v>
      </c>
      <c r="G38" s="21">
        <f ca="1">$H$8*$H$10/36500*D38</f>
        <v>24.657534246575345</v>
      </c>
      <c r="H38" s="37">
        <v>0</v>
      </c>
      <c r="I38" s="37">
        <v>0</v>
      </c>
      <c r="J38" s="37">
        <v>0</v>
      </c>
      <c r="K38" s="18">
        <v>0</v>
      </c>
      <c r="L38" s="19">
        <v>0</v>
      </c>
      <c r="M38" s="19">
        <v>0</v>
      </c>
      <c r="N38" s="19">
        <v>0</v>
      </c>
      <c r="O38" s="19">
        <v>0</v>
      </c>
      <c r="P38" s="19">
        <v>0</v>
      </c>
      <c r="Q38" s="19">
        <v>0</v>
      </c>
      <c r="R38" s="11" t="s">
        <v>20</v>
      </c>
      <c r="S38" s="11" t="s">
        <v>20</v>
      </c>
    </row>
    <row r="39" spans="2:19" s="5" customFormat="1" ht="17.399999999999999" x14ac:dyDescent="0.3">
      <c r="B39" s="11">
        <v>3</v>
      </c>
      <c r="C39" s="13">
        <f ca="1">WORKDAY(EOMONTH(C38,1)+1,-1)</f>
        <v>45471</v>
      </c>
      <c r="D39" s="20">
        <f ca="1">IF($H$8="Сума власного внеску повинна бути не менше 30%",0,IF($H$8-ROUND(SUM($F$38:F38),2)&lt;=0,0,_xlfn.DAYS(C39,C38)))</f>
        <v>28</v>
      </c>
      <c r="E39" s="21">
        <f t="shared" ref="E39:E48" ca="1" si="0">SUM(F39:Q39)</f>
        <v>730.13698630136992</v>
      </c>
      <c r="F39" s="37">
        <f>IF($H$8-ROUND(SUM($F$38:F38),2)&lt;=0,0,($H$8-F38)*H15/100)</f>
        <v>500</v>
      </c>
      <c r="G39" s="21">
        <f ca="1">IF(($H$8-SUM($F$38:F38))*$H$10/36500*D39&gt;0,($H$8-SUM($F$38:F38))*$H$10/36500*D39,0)</f>
        <v>230.13698630136989</v>
      </c>
      <c r="H39" s="37">
        <v>0</v>
      </c>
      <c r="I39" s="37">
        <v>0</v>
      </c>
      <c r="J39" s="37">
        <v>0</v>
      </c>
      <c r="K39" s="18">
        <v>0</v>
      </c>
      <c r="L39" s="19">
        <v>0</v>
      </c>
      <c r="M39" s="19">
        <v>0</v>
      </c>
      <c r="N39" s="19">
        <v>0</v>
      </c>
      <c r="O39" s="19">
        <v>0</v>
      </c>
      <c r="P39" s="19">
        <v>0</v>
      </c>
      <c r="Q39" s="19">
        <v>0</v>
      </c>
      <c r="R39" s="11" t="s">
        <v>20</v>
      </c>
      <c r="S39" s="11" t="s">
        <v>20</v>
      </c>
    </row>
    <row r="40" spans="2:19" s="5" customFormat="1" ht="17.399999999999999" x14ac:dyDescent="0.3">
      <c r="B40" s="11">
        <v>4</v>
      </c>
      <c r="C40" s="13">
        <f t="shared" ref="C40:C49" ca="1" si="1">WORKDAY(EOMONTH(C39,1)+1,-1)</f>
        <v>45504</v>
      </c>
      <c r="D40" s="20">
        <f ca="1">IF($H$8="Сума власного внеску повинна бути не менше 30%",0,IF($H$8-ROUND(SUM($F$38:F39),2)&lt;=0,0,_xlfn.DAYS(C40,C39)))</f>
        <v>33</v>
      </c>
      <c r="E40" s="21">
        <f t="shared" ca="1" si="0"/>
        <v>732.67123287671234</v>
      </c>
      <c r="F40" s="37">
        <f>IF($H$8-ROUND(SUM($F$38:F39),2)&lt;=0,0,($H$8-SUM(F38:F39))*H15/100)</f>
        <v>475</v>
      </c>
      <c r="G40" s="21">
        <f ca="1">IF(($H$8-SUM($F$38:F39))*$H$10/36500*D40&gt;0,($H$8-SUM($F$38:F39))*$H$10/36500*D40,0)</f>
        <v>257.67123287671234</v>
      </c>
      <c r="H40" s="37">
        <v>0</v>
      </c>
      <c r="I40" s="37">
        <v>0</v>
      </c>
      <c r="J40" s="37">
        <v>0</v>
      </c>
      <c r="K40" s="18">
        <v>0</v>
      </c>
      <c r="L40" s="19">
        <v>0</v>
      </c>
      <c r="M40" s="19">
        <v>0</v>
      </c>
      <c r="N40" s="19">
        <v>0</v>
      </c>
      <c r="O40" s="19">
        <v>0</v>
      </c>
      <c r="P40" s="19">
        <v>0</v>
      </c>
      <c r="Q40" s="19">
        <v>0</v>
      </c>
      <c r="R40" s="11" t="s">
        <v>20</v>
      </c>
      <c r="S40" s="11" t="s">
        <v>20</v>
      </c>
    </row>
    <row r="41" spans="2:19" s="5" customFormat="1" ht="17.399999999999999" x14ac:dyDescent="0.3">
      <c r="B41" s="11">
        <v>5</v>
      </c>
      <c r="C41" s="13">
        <f t="shared" ca="1" si="1"/>
        <v>45534</v>
      </c>
      <c r="D41" s="20">
        <f ca="1">IF($H$8="Сума власного внеску повинна бути не менше 30%",0,IF($H$8-ROUND(SUM($F$38:F40),2)&lt;=0,0,_xlfn.DAYS(C41,C40)))</f>
        <v>30</v>
      </c>
      <c r="E41" s="21">
        <f t="shared" ca="1" si="0"/>
        <v>673.78424657534242</v>
      </c>
      <c r="F41" s="37">
        <f>IF($H$8-ROUND(SUM($F$38:F40),2)&lt;=0,0,($H$8-SUM(F38:F40))*H15/100)</f>
        <v>451.25</v>
      </c>
      <c r="G41" s="21">
        <f ca="1">IF(($H$8-SUM($F$38:F40))*$H$10/36500*D41&gt;0,($H$8-SUM($F$38:F40))*$H$10/36500*D41,0)</f>
        <v>222.53424657534245</v>
      </c>
      <c r="H41" s="37">
        <v>0</v>
      </c>
      <c r="I41" s="37">
        <v>0</v>
      </c>
      <c r="J41" s="37">
        <v>0</v>
      </c>
      <c r="K41" s="18">
        <v>0</v>
      </c>
      <c r="L41" s="19">
        <v>0</v>
      </c>
      <c r="M41" s="19">
        <v>0</v>
      </c>
      <c r="N41" s="19">
        <v>0</v>
      </c>
      <c r="O41" s="19">
        <v>0</v>
      </c>
      <c r="P41" s="19">
        <v>0</v>
      </c>
      <c r="Q41" s="19">
        <v>0</v>
      </c>
      <c r="R41" s="11" t="s">
        <v>20</v>
      </c>
      <c r="S41" s="11" t="s">
        <v>20</v>
      </c>
    </row>
    <row r="42" spans="2:19" s="5" customFormat="1" ht="17.399999999999999" x14ac:dyDescent="0.3">
      <c r="B42" s="11">
        <v>6</v>
      </c>
      <c r="C42" s="13">
        <f t="shared" ca="1" si="1"/>
        <v>45565</v>
      </c>
      <c r="D42" s="20">
        <f ca="1">IF($H$8="Сума власного внеску повинна бути не менше 30%",0,IF($H$8-ROUND(SUM($F$38:F41),2)&lt;=0,0,_xlfn.DAYS(C42,C41)))</f>
        <v>31</v>
      </c>
      <c r="E42" s="21">
        <f t="shared" ca="1" si="0"/>
        <v>647.1419520547945</v>
      </c>
      <c r="F42" s="37">
        <f>IF($H$8-ROUND(SUM($F$38:F41),2)&lt;=0,0,($H$8-SUM(F38:F41))*H15/100)</f>
        <v>428.6875</v>
      </c>
      <c r="G42" s="21">
        <f ca="1">IF(($H$8-SUM($F$38:F41))*$H$10/36500*D42&gt;0,($H$8-SUM($F$38:F41))*$H$10/36500*D42,0)</f>
        <v>218.45445205479453</v>
      </c>
      <c r="H42" s="37">
        <v>0</v>
      </c>
      <c r="I42" s="37">
        <v>0</v>
      </c>
      <c r="J42" s="37">
        <v>0</v>
      </c>
      <c r="K42" s="18">
        <v>0</v>
      </c>
      <c r="L42" s="19">
        <v>0</v>
      </c>
      <c r="M42" s="19">
        <v>0</v>
      </c>
      <c r="N42" s="19">
        <v>0</v>
      </c>
      <c r="O42" s="19">
        <v>0</v>
      </c>
      <c r="P42" s="19">
        <v>0</v>
      </c>
      <c r="Q42" s="19">
        <v>0</v>
      </c>
      <c r="R42" s="11" t="s">
        <v>20</v>
      </c>
      <c r="S42" s="11" t="s">
        <v>20</v>
      </c>
    </row>
    <row r="43" spans="2:19" s="5" customFormat="1" ht="17.399999999999999" x14ac:dyDescent="0.3">
      <c r="B43" s="11">
        <v>7</v>
      </c>
      <c r="C43" s="13">
        <f t="shared" ca="1" si="1"/>
        <v>45596</v>
      </c>
      <c r="D43" s="20">
        <f ca="1">IF($H$8="Сума власного внеску повинна бути не менше 30%",0,IF($H$8-ROUND(SUM($F$38:F42),2)&lt;=0,0,_xlfn.DAYS(C43,C42)))</f>
        <v>31</v>
      </c>
      <c r="E43" s="21">
        <f t="shared" ca="1" si="0"/>
        <v>614.78485445205479</v>
      </c>
      <c r="F43" s="37">
        <f>IF($H$8-ROUND(SUM($F$38:F42),2)&lt;=0,0,($H$8-SUM(F38:F42))*H15/100)</f>
        <v>407.25312500000001</v>
      </c>
      <c r="G43" s="21">
        <f ca="1">IF(($H$8-SUM($F$38:F42))*$H$10/36500*D43&gt;0,($H$8-SUM($F$38:F42))*$H$10/36500*D43,0)</f>
        <v>207.5317294520548</v>
      </c>
      <c r="H43" s="37">
        <v>0</v>
      </c>
      <c r="I43" s="37">
        <v>0</v>
      </c>
      <c r="J43" s="37">
        <v>0</v>
      </c>
      <c r="K43" s="18">
        <v>0</v>
      </c>
      <c r="L43" s="19">
        <v>0</v>
      </c>
      <c r="M43" s="19">
        <v>0</v>
      </c>
      <c r="N43" s="19">
        <v>0</v>
      </c>
      <c r="O43" s="19">
        <v>0</v>
      </c>
      <c r="P43" s="19">
        <v>0</v>
      </c>
      <c r="Q43" s="19">
        <v>0</v>
      </c>
      <c r="R43" s="11" t="s">
        <v>20</v>
      </c>
      <c r="S43" s="11" t="s">
        <v>20</v>
      </c>
    </row>
    <row r="44" spans="2:19" s="5" customFormat="1" ht="17.399999999999999" x14ac:dyDescent="0.3">
      <c r="B44" s="11">
        <v>8</v>
      </c>
      <c r="C44" s="13">
        <f t="shared" ca="1" si="1"/>
        <v>45625</v>
      </c>
      <c r="D44" s="20">
        <f ca="1">IF($H$8="Сума власного внеску повинна бути не менше 30%",0,IF($H$8-ROUND(SUM($F$38:F43),2)&lt;=0,0,_xlfn.DAYS(C44,C43)))</f>
        <v>29</v>
      </c>
      <c r="E44" s="21">
        <f t="shared" ca="1" si="0"/>
        <v>571.32592508561652</v>
      </c>
      <c r="F44" s="37">
        <f>IF($H$8-ROUND(SUM($F$38:F43),2)&lt;=0,0,($H$8-SUM(F38:F43))*H15/100)</f>
        <v>386.89046875000003</v>
      </c>
      <c r="G44" s="21">
        <f ca="1">IF(($H$8-SUM($F$38:F43))*$H$10/36500*D44&gt;0,($H$8-SUM($F$38:F43))*$H$10/36500*D44,0)</f>
        <v>184.43545633561644</v>
      </c>
      <c r="H44" s="37">
        <v>0</v>
      </c>
      <c r="I44" s="37">
        <v>0</v>
      </c>
      <c r="J44" s="37">
        <v>0</v>
      </c>
      <c r="K44" s="18">
        <v>0</v>
      </c>
      <c r="L44" s="19">
        <v>0</v>
      </c>
      <c r="M44" s="19">
        <v>0</v>
      </c>
      <c r="N44" s="19">
        <v>0</v>
      </c>
      <c r="O44" s="19">
        <v>0</v>
      </c>
      <c r="P44" s="19">
        <v>0</v>
      </c>
      <c r="Q44" s="19">
        <v>0</v>
      </c>
      <c r="R44" s="11" t="s">
        <v>20</v>
      </c>
      <c r="S44" s="11" t="s">
        <v>20</v>
      </c>
    </row>
    <row r="45" spans="2:19" s="5" customFormat="1" ht="17.399999999999999" x14ac:dyDescent="0.3">
      <c r="B45" s="11">
        <v>9</v>
      </c>
      <c r="C45" s="13">
        <f t="shared" ca="1" si="1"/>
        <v>45657</v>
      </c>
      <c r="D45" s="20">
        <f ca="1">IF($H$8="Сума власного внеску повинна бути не менше 30%",0,IF($H$8-ROUND(SUM($F$38:F44),2)&lt;=0,0,_xlfn.DAYS(C45,C44)))</f>
        <v>32</v>
      </c>
      <c r="E45" s="21">
        <f t="shared" ca="1" si="0"/>
        <v>560.88518229880128</v>
      </c>
      <c r="F45" s="37">
        <f>IF($H$8-ROUND(SUM($F$38:F44),2)&lt;=0,0,($H$8-SUM(F38:F44))*H15/100)</f>
        <v>367.54594531249995</v>
      </c>
      <c r="G45" s="21">
        <f ca="1">IF(($H$8-SUM($F$38:F44))*$H$10/36500*D45&gt;0,($H$8-SUM($F$38:F44))*$H$10/36500*D45,0)</f>
        <v>193.33923698630139</v>
      </c>
      <c r="H45" s="37">
        <v>0</v>
      </c>
      <c r="I45" s="37">
        <v>0</v>
      </c>
      <c r="J45" s="37">
        <v>0</v>
      </c>
      <c r="K45" s="18">
        <v>0</v>
      </c>
      <c r="L45" s="19">
        <v>0</v>
      </c>
      <c r="M45" s="19">
        <v>0</v>
      </c>
      <c r="N45" s="19">
        <v>0</v>
      </c>
      <c r="O45" s="19">
        <v>0</v>
      </c>
      <c r="P45" s="19">
        <v>0</v>
      </c>
      <c r="Q45" s="19">
        <v>0</v>
      </c>
      <c r="R45" s="11" t="s">
        <v>20</v>
      </c>
      <c r="S45" s="11" t="s">
        <v>20</v>
      </c>
    </row>
    <row r="46" spans="2:19" s="5" customFormat="1" ht="17.399999999999999" x14ac:dyDescent="0.3">
      <c r="B46" s="11">
        <v>10</v>
      </c>
      <c r="C46" s="13">
        <f t="shared" ca="1" si="1"/>
        <v>45688</v>
      </c>
      <c r="D46" s="20">
        <f ca="1">IF($H$8="Сума власного внеску повинна бути не менше 30%",0,IF($H$8-ROUND(SUM($F$38:F45),2)&lt;=0,0,_xlfn.DAYS(C46,C45)))</f>
        <v>31</v>
      </c>
      <c r="E46" s="21">
        <f t="shared" ca="1" si="0"/>
        <v>527.10116458583047</v>
      </c>
      <c r="F46" s="37">
        <f>IF($H$8-ROUND(SUM($F$38:F45),2)&lt;=0,0,($H$8-SUM(F38:F45))*H15/100)</f>
        <v>349.16864804687503</v>
      </c>
      <c r="G46" s="21">
        <f ca="1">IF(($H$8-SUM($F$38:F45))*$H$10/36500*D46&gt;0,($H$8-SUM($F$38:F45))*$H$10/36500*D46,0)</f>
        <v>177.9325165389555</v>
      </c>
      <c r="H46" s="37">
        <v>0</v>
      </c>
      <c r="I46" s="37">
        <v>0</v>
      </c>
      <c r="J46" s="37">
        <v>0</v>
      </c>
      <c r="K46" s="18">
        <v>0</v>
      </c>
      <c r="L46" s="19">
        <v>0</v>
      </c>
      <c r="M46" s="19">
        <v>0</v>
      </c>
      <c r="N46" s="19">
        <v>0</v>
      </c>
      <c r="O46" s="19">
        <v>0</v>
      </c>
      <c r="P46" s="19">
        <v>0</v>
      </c>
      <c r="Q46" s="19">
        <v>0</v>
      </c>
      <c r="R46" s="11" t="s">
        <v>20</v>
      </c>
      <c r="S46" s="11" t="s">
        <v>20</v>
      </c>
    </row>
    <row r="47" spans="2:19" s="5" customFormat="1" ht="17.399999999999999" x14ac:dyDescent="0.3">
      <c r="B47" s="11">
        <v>11</v>
      </c>
      <c r="C47" s="13">
        <f t="shared" ca="1" si="1"/>
        <v>45716</v>
      </c>
      <c r="D47" s="20">
        <f ca="1">IF($H$8="Сума власного внеску повинна бути не менше 30%",0,IF($H$8-ROUND(SUM($F$38:F46),2)&lt;=0,0,_xlfn.DAYS(C47,C46)))</f>
        <v>28</v>
      </c>
      <c r="E47" s="21">
        <f t="shared" ca="1" si="0"/>
        <v>484.38779435215105</v>
      </c>
      <c r="F47" s="37">
        <f>IF($H$8-ROUND(SUM($F$38:F46),2)&lt;=0,0,($H$8-SUM(F38:F46))*H15/100)</f>
        <v>331.71021564453122</v>
      </c>
      <c r="G47" s="21">
        <f ca="1">IF(($H$8-SUM($F$38:F46))*$H$10/36500*D47&gt;0,($H$8-SUM($F$38:F46))*$H$10/36500*D47,0)</f>
        <v>152.67757870761983</v>
      </c>
      <c r="H47" s="37">
        <v>0</v>
      </c>
      <c r="I47" s="37">
        <v>0</v>
      </c>
      <c r="J47" s="37">
        <v>0</v>
      </c>
      <c r="K47" s="18">
        <v>0</v>
      </c>
      <c r="L47" s="19">
        <v>0</v>
      </c>
      <c r="M47" s="19">
        <v>0</v>
      </c>
      <c r="N47" s="19">
        <v>0</v>
      </c>
      <c r="O47" s="19">
        <v>0</v>
      </c>
      <c r="P47" s="19">
        <v>0</v>
      </c>
      <c r="Q47" s="19">
        <v>0</v>
      </c>
      <c r="R47" s="11" t="s">
        <v>20</v>
      </c>
      <c r="S47" s="11" t="s">
        <v>20</v>
      </c>
    </row>
    <row r="48" spans="2:19" s="5" customFormat="1" ht="17.399999999999999" x14ac:dyDescent="0.3">
      <c r="B48" s="11">
        <v>12</v>
      </c>
      <c r="C48" s="13">
        <f t="shared" ca="1" si="1"/>
        <v>45747</v>
      </c>
      <c r="D48" s="20">
        <f ca="1">IF($H$8="Сума власного внеску повинна бути не менше 30%",0,IF($H$8-ROUND(SUM($F$38:F47),2)&lt;=0,0,_xlfn.DAYS(C48,C47)))</f>
        <v>31</v>
      </c>
      <c r="E48" s="21">
        <f t="shared" ca="1" si="0"/>
        <v>475.70880103871195</v>
      </c>
      <c r="F48" s="37">
        <f>IF($H$8-ROUND(SUM($F$38:F47),2)&lt;=0,0,($H$8-SUM(F38:F47))*H15/100)</f>
        <v>315.12470486230467</v>
      </c>
      <c r="G48" s="21">
        <f ca="1">IF(($H$8-SUM($F$38:F47))*$H$10/36500*D48&gt;0,($H$8-SUM($F$38:F47))*$H$10/36500*D48,0)</f>
        <v>160.58409617640731</v>
      </c>
      <c r="H48" s="37">
        <v>0</v>
      </c>
      <c r="I48" s="37">
        <v>0</v>
      </c>
      <c r="J48" s="37">
        <v>0</v>
      </c>
      <c r="K48" s="18">
        <v>0</v>
      </c>
      <c r="L48" s="19">
        <v>0</v>
      </c>
      <c r="M48" s="19">
        <v>0</v>
      </c>
      <c r="N48" s="19">
        <v>0</v>
      </c>
      <c r="O48" s="19">
        <v>0</v>
      </c>
      <c r="P48" s="19">
        <v>0</v>
      </c>
      <c r="Q48" s="19">
        <v>0</v>
      </c>
      <c r="R48" s="11" t="s">
        <v>20</v>
      </c>
      <c r="S48" s="11" t="s">
        <v>20</v>
      </c>
    </row>
    <row r="49" spans="2:19" s="5" customFormat="1" ht="17.399999999999999" x14ac:dyDescent="0.3">
      <c r="B49" s="11">
        <v>13</v>
      </c>
      <c r="C49" s="13">
        <f t="shared" ca="1" si="1"/>
        <v>45777</v>
      </c>
      <c r="D49" s="20">
        <f ca="1">IF($H$8="Сума власного внеску повинна бути не менше 30%",0,IF($H$8-ROUND(SUM($F$38:F48),2)&lt;=0,0,_xlfn.DAYS(C49,C48)))</f>
        <v>30</v>
      </c>
      <c r="E49" s="21">
        <f ca="1">SUM(F49:Q49)</f>
        <v>447.00223545878976</v>
      </c>
      <c r="F49" s="37">
        <f>IF($H$8-ROUND(SUM($F$38:F48),2)&lt;=0,0,($H$8-SUM(F38:F48))*H15/100)</f>
        <v>299.36846961918945</v>
      </c>
      <c r="G49" s="21">
        <f ca="1">IF(($H$8-SUM($F$38:F48))*$H$10/36500*D49&gt;0,($H$8-SUM($F$38:F48))*$H$10/36500*D49,0)</f>
        <v>147.6337658396003</v>
      </c>
      <c r="H49" s="37">
        <v>0</v>
      </c>
      <c r="I49" s="37">
        <v>0</v>
      </c>
      <c r="J49" s="37">
        <v>0</v>
      </c>
      <c r="K49" s="18">
        <v>0</v>
      </c>
      <c r="L49" s="19">
        <v>0</v>
      </c>
      <c r="M49" s="19">
        <v>0</v>
      </c>
      <c r="N49" s="19">
        <v>0</v>
      </c>
      <c r="O49" s="19">
        <v>0</v>
      </c>
      <c r="P49" s="19">
        <v>0</v>
      </c>
      <c r="Q49" s="19">
        <v>0</v>
      </c>
      <c r="R49" s="11" t="s">
        <v>20</v>
      </c>
      <c r="S49" s="11" t="s">
        <v>20</v>
      </c>
    </row>
    <row r="50" spans="2:19" s="5" customFormat="1" ht="17.399999999999999" x14ac:dyDescent="0.3">
      <c r="B50" s="11">
        <v>14</v>
      </c>
      <c r="C50" s="13">
        <f ca="1">EDATE(C37,12)</f>
        <v>45806</v>
      </c>
      <c r="D50" s="20">
        <f ca="1">IF($H$8="Сума власного внеску повинна бути не менше 30%",0,IF($H$8-ROUND(SUM($F$38:F49),2)&lt;=0,0,_xlfn.DAYS(C50,C49)-1))</f>
        <v>28</v>
      </c>
      <c r="E50" s="21">
        <f ca="1">SUM(F50:Q50)</f>
        <v>5818.9028618090451</v>
      </c>
      <c r="F50" s="37">
        <f>IF($H$8-ROUND(SUM($F$38:F49),2)&lt;=0,0,$H$8-SUM($F$38:F49))</f>
        <v>5688.0009227645996</v>
      </c>
      <c r="G50" s="21">
        <f ca="1">IF(($H$8-SUM($F$38:F49))*$H$10/36500*D50&gt;0,($H$8-SUM($F$38:F49))*$H$10/36500*D50,0)</f>
        <v>130.90193904444558</v>
      </c>
      <c r="H50" s="37">
        <v>0</v>
      </c>
      <c r="I50" s="37">
        <v>0</v>
      </c>
      <c r="J50" s="37">
        <v>0</v>
      </c>
      <c r="K50" s="18">
        <v>0</v>
      </c>
      <c r="L50" s="19">
        <v>0</v>
      </c>
      <c r="M50" s="19">
        <v>0</v>
      </c>
      <c r="N50" s="19">
        <v>0</v>
      </c>
      <c r="O50" s="19">
        <v>0</v>
      </c>
      <c r="P50" s="19">
        <v>0</v>
      </c>
      <c r="Q50" s="19">
        <v>0</v>
      </c>
      <c r="R50" s="11" t="s">
        <v>20</v>
      </c>
      <c r="S50" s="11" t="s">
        <v>20</v>
      </c>
    </row>
    <row r="51" spans="2:19" s="5" customFormat="1" ht="17.399999999999999" x14ac:dyDescent="0.3">
      <c r="B51" s="10" t="s">
        <v>21</v>
      </c>
      <c r="C51" s="22" t="s">
        <v>20</v>
      </c>
      <c r="D51" s="38">
        <f ca="1">IF($H$8="Сума власного внеску повинна бути не менше 30%","х",SUM(D38:D50))</f>
        <v>365</v>
      </c>
      <c r="E51" s="23">
        <f ca="1">SUM(E38:E50)</f>
        <v>12308.490771135796</v>
      </c>
      <c r="F51" s="24">
        <f>SUM(F38:F50)</f>
        <v>10000</v>
      </c>
      <c r="G51" s="25">
        <f ca="1">SUM(G38:G50)</f>
        <v>2308.4907711357955</v>
      </c>
      <c r="H51" s="26">
        <f t="shared" ref="H51:Q51" si="2">SUM(H37:H50)</f>
        <v>0</v>
      </c>
      <c r="I51" s="27">
        <f t="shared" si="2"/>
        <v>0</v>
      </c>
      <c r="J51" s="27">
        <f t="shared" si="2"/>
        <v>400</v>
      </c>
      <c r="K51" s="27">
        <f t="shared" si="2"/>
        <v>0</v>
      </c>
      <c r="L51" s="27">
        <f t="shared" si="2"/>
        <v>0</v>
      </c>
      <c r="M51" s="27">
        <f t="shared" si="2"/>
        <v>0</v>
      </c>
      <c r="N51" s="27">
        <f t="shared" si="2"/>
        <v>0</v>
      </c>
      <c r="O51" s="27">
        <f t="shared" si="2"/>
        <v>0</v>
      </c>
      <c r="P51" s="27">
        <f t="shared" si="2"/>
        <v>0</v>
      </c>
      <c r="Q51" s="28">
        <f t="shared" si="2"/>
        <v>0</v>
      </c>
      <c r="R51" s="29">
        <f ca="1">XIRR(E37:E50,C37:C50)</f>
        <v>0.42926653027534489</v>
      </c>
      <c r="S51" s="30">
        <f ca="1">SUM(F51:Q51)</f>
        <v>12708.490771135796</v>
      </c>
    </row>
    <row r="52" spans="2:19" s="5" customFormat="1" x14ac:dyDescent="0.3"/>
    <row r="53" spans="2:19" s="5" customFormat="1" x14ac:dyDescent="0.3"/>
    <row r="54" spans="2:19" s="5" customFormat="1" x14ac:dyDescent="0.3"/>
    <row r="55" spans="2:19" s="5" customFormat="1" x14ac:dyDescent="0.3">
      <c r="R55" s="35"/>
    </row>
    <row r="56" spans="2:19" s="5" customFormat="1" x14ac:dyDescent="0.3">
      <c r="E56" s="36"/>
    </row>
  </sheetData>
  <mergeCells count="36">
    <mergeCell ref="S32:S35"/>
    <mergeCell ref="J12:O12"/>
    <mergeCell ref="J13:O13"/>
    <mergeCell ref="B17:R25"/>
    <mergeCell ref="B12:G12"/>
    <mergeCell ref="B13:G13"/>
    <mergeCell ref="B14:G14"/>
    <mergeCell ref="B32:B35"/>
    <mergeCell ref="C32:C35"/>
    <mergeCell ref="D32:D35"/>
    <mergeCell ref="E32:E35"/>
    <mergeCell ref="F32:Q32"/>
    <mergeCell ref="B27:R27"/>
    <mergeCell ref="R32:R35"/>
    <mergeCell ref="F33:F35"/>
    <mergeCell ref="G33:G35"/>
    <mergeCell ref="B10:G10"/>
    <mergeCell ref="B29:S31"/>
    <mergeCell ref="B4:O4"/>
    <mergeCell ref="B6:H6"/>
    <mergeCell ref="B7:G7"/>
    <mergeCell ref="B8:G8"/>
    <mergeCell ref="B9:G9"/>
    <mergeCell ref="J8:O8"/>
    <mergeCell ref="J9:O9"/>
    <mergeCell ref="B5:R5"/>
    <mergeCell ref="J15:O15"/>
    <mergeCell ref="J10:O10"/>
    <mergeCell ref="J11:O11"/>
    <mergeCell ref="B11:G11"/>
    <mergeCell ref="H33:Q33"/>
    <mergeCell ref="H34:K34"/>
    <mergeCell ref="L34:M34"/>
    <mergeCell ref="N34:Q34"/>
    <mergeCell ref="J6:O6"/>
    <mergeCell ref="J7:O7"/>
  </mergeCells>
  <dataValidations xWindow="473" yWindow="454" count="3">
    <dataValidation type="list" allowBlank="1" showInputMessage="1" showErrorMessage="1" sqref="H9">
      <formula1>"12"</formula1>
    </dataValidation>
    <dataValidation allowBlank="1" showInputMessage="1" showErrorMessage="1" promptTitle="Заповніть чарунку" prompt="= сума кредитного ліміту_x000a_" sqref="H8"/>
    <dataValidation allowBlank="1" showInputMessage="1" showErrorMessage="1" prompt="від суми видачі / переказу_x000a_" sqref="H11:H14"/>
  </dataValidations>
  <pageMargins left="0.70866141732283472" right="0.70866141732283472" top="0.74803149606299213" bottom="0.74803149606299213" header="0.31496062992125984" footer="0.31496062992125984"/>
  <pageSetup paperSize="9" scale="47" fitToHeight="8" orientation="landscape" r:id="rId1"/>
  <colBreaks count="1" manualBreakCount="1">
    <brk id="19" max="192" man="1"/>
  </col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9</xdr:col>
                <xdr:colOff>388620</xdr:colOff>
                <xdr:row>0</xdr:row>
                <xdr:rowOff>83820</xdr:rowOff>
              </from>
              <to>
                <xdr:col>14</xdr:col>
                <xdr:colOff>830580</xdr:colOff>
                <xdr:row>2</xdr:row>
                <xdr:rowOff>152400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Калькулятор</vt:lpstr>
      <vt:lpstr>Калькулятор!Область_друку</vt:lpstr>
    </vt:vector>
  </TitlesOfParts>
  <Company>AP 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Сухорукова Олена</dc:creator>
  <cp:lastModifiedBy>Бузинник Юрій</cp:lastModifiedBy>
  <cp:lastPrinted>2022-05-20T12:55:45Z</cp:lastPrinted>
  <dcterms:created xsi:type="dcterms:W3CDTF">2021-05-11T12:43:21Z</dcterms:created>
  <dcterms:modified xsi:type="dcterms:W3CDTF">2024-05-29T14:05:46Z</dcterms:modified>
</cp:coreProperties>
</file>